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alance P" sheetId="2" r:id="rId1"/>
    <sheet name="Hoja1" sheetId="3" r:id="rId2"/>
  </sheets>
  <definedNames>
    <definedName name="_xlnm._FilterDatabase" localSheetId="0" hidden="1">'Balance P'!$E$15:$H$15</definedName>
  </definedNames>
  <calcPr calcId="144525"/>
</workbook>
</file>

<file path=xl/calcChain.xml><?xml version="1.0" encoding="utf-8"?>
<calcChain xmlns="http://schemas.openxmlformats.org/spreadsheetml/2006/main">
  <c r="R18" i="2" l="1"/>
  <c r="R7" i="2"/>
  <c r="P3" i="2"/>
  <c r="P4" i="2"/>
  <c r="P6" i="2"/>
  <c r="P7" i="2"/>
  <c r="D10" i="2"/>
  <c r="H11" i="2"/>
  <c r="K9" i="2"/>
  <c r="K11" i="2"/>
  <c r="L11" i="2"/>
  <c r="H7" i="2"/>
  <c r="H6" i="2"/>
  <c r="H4" i="2"/>
  <c r="H3" i="2"/>
  <c r="O11" i="2" l="1"/>
  <c r="P11" i="2" s="1"/>
  <c r="Q11" i="2" s="1"/>
  <c r="R11" i="2" s="1"/>
  <c r="O10" i="2"/>
  <c r="O9" i="2"/>
  <c r="O7" i="2"/>
  <c r="O6" i="2"/>
  <c r="O4" i="2"/>
  <c r="O3" i="2"/>
  <c r="K10" i="2"/>
  <c r="L10" i="2" s="1"/>
  <c r="L9" i="2"/>
  <c r="K7" i="2"/>
  <c r="L7" i="2" s="1"/>
  <c r="K6" i="2"/>
  <c r="L6" i="2" s="1"/>
  <c r="K4" i="2"/>
  <c r="L4" i="2" s="1"/>
  <c r="M4" i="2" s="1"/>
  <c r="K3" i="2"/>
  <c r="L3" i="2" s="1"/>
  <c r="C12" i="2" l="1"/>
  <c r="M10" i="2"/>
  <c r="M9" i="2"/>
  <c r="D9" i="2" l="1"/>
  <c r="Q9" i="2"/>
  <c r="R9" i="2" s="1"/>
  <c r="Q10" i="2"/>
  <c r="R10" i="2" s="1"/>
  <c r="D11" i="2"/>
  <c r="C8" i="2"/>
  <c r="M7" i="2"/>
  <c r="M6" i="2"/>
  <c r="C5" i="2"/>
  <c r="D7" i="2" l="1"/>
  <c r="D3" i="2"/>
  <c r="Q7" i="2"/>
  <c r="Q6" i="2"/>
  <c r="R6" i="2" s="1"/>
  <c r="D4" i="2"/>
  <c r="D6" i="2"/>
  <c r="M3" i="2" l="1"/>
  <c r="Q3" i="2" s="1"/>
  <c r="R3" i="2" s="1"/>
  <c r="B9" i="3"/>
  <c r="B6" i="3"/>
  <c r="B7" i="3" s="1"/>
  <c r="Q4" i="2" l="1"/>
  <c r="R4" i="2" s="1"/>
  <c r="R16" i="2" l="1"/>
  <c r="R17" i="2" l="1"/>
</calcChain>
</file>

<file path=xl/sharedStrings.xml><?xml version="1.0" encoding="utf-8"?>
<sst xmlns="http://schemas.openxmlformats.org/spreadsheetml/2006/main" count="69" uniqueCount="52">
  <si>
    <t>Lote</t>
  </si>
  <si>
    <t>Superficie (ha)</t>
  </si>
  <si>
    <t>Ambiente</t>
  </si>
  <si>
    <t>Total</t>
  </si>
  <si>
    <t>Porcentaje</t>
  </si>
  <si>
    <t>Pbray</t>
  </si>
  <si>
    <t>pH</t>
  </si>
  <si>
    <t>Cultivo</t>
  </si>
  <si>
    <t>Ppm a levantar</t>
  </si>
  <si>
    <t>Dosis P (kg/ha)</t>
  </si>
  <si>
    <t>RINDE 2018/2019</t>
  </si>
  <si>
    <t>2018/2019</t>
  </si>
  <si>
    <t>18-19</t>
  </si>
  <si>
    <t xml:space="preserve">ppm  </t>
  </si>
  <si>
    <t>(para elevar 1 ppm)</t>
  </si>
  <si>
    <t>Enriquecimiento</t>
  </si>
  <si>
    <t>P a exportar Kg/ha</t>
  </si>
  <si>
    <t>Dosis P Kg/ha</t>
  </si>
  <si>
    <t>Dosis SPT Kg/ha</t>
  </si>
  <si>
    <t>SPT  TOTAl Kg</t>
  </si>
  <si>
    <t>Muestreo 2018</t>
  </si>
  <si>
    <t>UMBRAL CRÍTICO AL P</t>
  </si>
  <si>
    <t>CULTIVO</t>
  </si>
  <si>
    <t>SOJA</t>
  </si>
  <si>
    <t>CITA</t>
  </si>
  <si>
    <t>www.ipni.net/publication/ia-lacs.nsf/0/CF7BA54CC83C7980852579950075F444/$FILE/16.pdf</t>
  </si>
  <si>
    <t>Umbral económico  (ppm) - Nov. 2017</t>
  </si>
  <si>
    <t>Precío neto Soja (USD/tn Grano) a mayo 2018</t>
  </si>
  <si>
    <t>Precío neto Soja (USD/Kg Grano) a mayo 2018</t>
  </si>
  <si>
    <t>Precío SPT (USD/tn SPT) con flete - Nov. 2017</t>
  </si>
  <si>
    <t>530 USD/tn</t>
  </si>
  <si>
    <t>Precío P (USD/Kg P) - Nov. 2017</t>
  </si>
  <si>
    <t>MAÍZ</t>
  </si>
  <si>
    <t>http://lacs.ipni.net/ipniweb/region/lacs.nsf/0/08FFF7FE24C867C1032581840053BB46/$FILE/CORRENDO%20-%20Umbrales%20criticos%20de%20P%20en%20maiz%20y%20soja%20-%20AAPRESID%202017.pdf</t>
  </si>
  <si>
    <t>Umbral  (ppm)  2017</t>
  </si>
  <si>
    <t>Kg</t>
  </si>
  <si>
    <t>Tn</t>
  </si>
  <si>
    <t>kg/ha</t>
  </si>
  <si>
    <t>TOTAL SPT:</t>
  </si>
  <si>
    <t>Promedio SPT</t>
  </si>
  <si>
    <t>Loma</t>
  </si>
  <si>
    <t xml:space="preserve">Bajo  </t>
  </si>
  <si>
    <t>Bajo anegable</t>
  </si>
  <si>
    <t>Bajo</t>
  </si>
  <si>
    <t>% Arcilla</t>
  </si>
  <si>
    <t>Densidad</t>
  </si>
  <si>
    <t>Coef. B</t>
  </si>
  <si>
    <t>Estimado (kg/ha)</t>
  </si>
  <si>
    <t>A5</t>
  </si>
  <si>
    <t>A6</t>
  </si>
  <si>
    <t>E2</t>
  </si>
  <si>
    <t>Fertilización 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</si>
</sst>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10" fontId="0" fillId="0" borderId="5" xfId="1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2" applyBorder="1" applyAlignment="1">
      <alignment horizontal="right"/>
    </xf>
    <xf numFmtId="0" fontId="0" fillId="2" borderId="1" xfId="0" applyFill="1" applyBorder="1"/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5" xfId="0" applyFill="1" applyBorder="1"/>
    <xf numFmtId="0" fontId="0" fillId="2" borderId="1" xfId="0" applyFont="1" applyFill="1" applyBorder="1" applyAlignment="1">
      <alignment horizontal="center" vertical="center"/>
    </xf>
    <xf numFmtId="0" fontId="0" fillId="0" borderId="16" xfId="0" applyBorder="1"/>
    <xf numFmtId="0" fontId="0" fillId="0" borderId="12" xfId="0" applyBorder="1"/>
    <xf numFmtId="0" fontId="0" fillId="0" borderId="1" xfId="0" quotePrefix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2" borderId="7" xfId="0" applyFill="1" applyBorder="1" applyAlignment="1"/>
    <xf numFmtId="0" fontId="0" fillId="2" borderId="8" xfId="0" applyFont="1" applyFill="1" applyBorder="1" applyAlignment="1">
      <alignment horizontal="center" vertical="center"/>
    </xf>
    <xf numFmtId="0" fontId="0" fillId="2" borderId="11" xfId="0" applyFill="1" applyBorder="1" applyAlignment="1"/>
    <xf numFmtId="0" fontId="0" fillId="2" borderId="5" xfId="0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/>
    <xf numFmtId="0" fontId="0" fillId="2" borderId="3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1" xfId="0" quotePrefix="1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2" borderId="8" xfId="0" applyNumberFormat="1" applyFill="1" applyBorder="1"/>
    <xf numFmtId="164" fontId="0" fillId="0" borderId="3" xfId="0" applyNumberFormat="1" applyBorder="1" applyAlignment="1">
      <alignment horizontal="center"/>
    </xf>
    <xf numFmtId="164" fontId="0" fillId="2" borderId="3" xfId="0" applyNumberFormat="1" applyFill="1" applyBorder="1"/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9" xfId="0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76200</xdr:rowOff>
    </xdr:from>
    <xdr:to>
      <xdr:col>8</xdr:col>
      <xdr:colOff>342900</xdr:colOff>
      <xdr:row>15</xdr:row>
      <xdr:rowOff>180975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232" t="49319" r="51239" b="16199"/>
        <a:stretch/>
      </xdr:blipFill>
      <xdr:spPr>
        <a:xfrm>
          <a:off x="8715375" y="647700"/>
          <a:ext cx="3581400" cy="239077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17</xdr:row>
      <xdr:rowOff>70813</xdr:rowOff>
    </xdr:from>
    <xdr:to>
      <xdr:col>2</xdr:col>
      <xdr:colOff>0</xdr:colOff>
      <xdr:row>27</xdr:row>
      <xdr:rowOff>123465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3309313"/>
          <a:ext cx="6067425" cy="195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lacs.ipni.net/ipniweb/region/lacs.nsf/0/08FFF7FE24C867C1032581840053BB46/$FILE/CORRENDO%20-%20Umbrales%20criticos%20de%20P%20en%20maiz%20y%20soja%20-%20AAPRESID%202017.pdf" TargetMode="External"/><Relationship Id="rId1" Type="http://schemas.openxmlformats.org/officeDocument/2006/relationships/hyperlink" Target="http://www.ipni.net/publication/ia-lacs.nsf/0/CF7BA54CC83C7980852579950075F444/$FILE/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pane xSplit="2" topLeftCell="C1" activePane="topRight" state="frozen"/>
      <selection pane="topRight" activeCell="A18" sqref="A18"/>
    </sheetView>
  </sheetViews>
  <sheetFormatPr baseColWidth="10" defaultColWidth="9.140625" defaultRowHeight="15" x14ac:dyDescent="0.25"/>
  <cols>
    <col min="1" max="1" width="13.7109375" customWidth="1"/>
    <col min="2" max="2" width="16.5703125" bestFit="1" customWidth="1"/>
    <col min="3" max="3" width="14" bestFit="1" customWidth="1"/>
    <col min="4" max="4" width="10.5703125" bestFit="1" customWidth="1"/>
    <col min="5" max="5" width="14.140625" customWidth="1"/>
    <col min="6" max="6" width="13.5703125" customWidth="1"/>
    <col min="7" max="7" width="11.28515625" customWidth="1"/>
    <col min="8" max="11" width="15.85546875" customWidth="1"/>
    <col min="12" max="12" width="18.28515625" bestFit="1" customWidth="1"/>
    <col min="13" max="13" width="15.7109375" bestFit="1" customWidth="1"/>
    <col min="14" max="14" width="16.42578125" bestFit="1" customWidth="1"/>
    <col min="15" max="15" width="17.28515625" bestFit="1" customWidth="1"/>
    <col min="16" max="16" width="17.140625" bestFit="1" customWidth="1"/>
    <col min="17" max="17" width="14.85546875" bestFit="1" customWidth="1"/>
    <col min="18" max="18" width="12.85546875" bestFit="1" customWidth="1"/>
  </cols>
  <sheetData>
    <row r="1" spans="1:19" x14ac:dyDescent="0.25">
      <c r="A1" s="23"/>
      <c r="B1" s="24"/>
      <c r="C1" s="24"/>
      <c r="D1" s="24"/>
      <c r="E1" s="51" t="s">
        <v>20</v>
      </c>
      <c r="F1" s="51"/>
      <c r="G1" s="18" t="s">
        <v>7</v>
      </c>
      <c r="H1" s="8" t="s">
        <v>8</v>
      </c>
      <c r="I1" s="8"/>
      <c r="J1" s="8"/>
      <c r="K1" s="8"/>
      <c r="L1" s="13" t="s">
        <v>9</v>
      </c>
      <c r="M1" s="13" t="s">
        <v>9</v>
      </c>
      <c r="N1" s="13" t="s">
        <v>10</v>
      </c>
      <c r="O1" s="8" t="s">
        <v>11</v>
      </c>
      <c r="P1" s="31" t="s">
        <v>51</v>
      </c>
      <c r="Q1" s="35"/>
      <c r="R1" s="29"/>
    </row>
    <row r="2" spans="1:19" x14ac:dyDescent="0.25">
      <c r="A2" s="10" t="s">
        <v>0</v>
      </c>
      <c r="B2" s="5" t="s">
        <v>2</v>
      </c>
      <c r="C2" s="1" t="s">
        <v>1</v>
      </c>
      <c r="D2" s="6" t="s">
        <v>4</v>
      </c>
      <c r="E2" s="1" t="s">
        <v>6</v>
      </c>
      <c r="F2" s="1" t="s">
        <v>5</v>
      </c>
      <c r="G2" s="19" t="s">
        <v>12</v>
      </c>
      <c r="H2" s="1" t="s">
        <v>13</v>
      </c>
      <c r="I2" s="42" t="s">
        <v>44</v>
      </c>
      <c r="J2" s="42" t="s">
        <v>45</v>
      </c>
      <c r="K2" s="42" t="s">
        <v>46</v>
      </c>
      <c r="L2" s="22" t="s">
        <v>14</v>
      </c>
      <c r="M2" s="22" t="s">
        <v>15</v>
      </c>
      <c r="N2" s="22" t="s">
        <v>47</v>
      </c>
      <c r="O2" s="22" t="s">
        <v>16</v>
      </c>
      <c r="P2" s="32" t="s">
        <v>17</v>
      </c>
      <c r="Q2" s="36" t="s">
        <v>18</v>
      </c>
      <c r="R2" s="30" t="s">
        <v>19</v>
      </c>
    </row>
    <row r="3" spans="1:19" x14ac:dyDescent="0.25">
      <c r="A3" s="49" t="s">
        <v>48</v>
      </c>
      <c r="B3" s="2" t="s">
        <v>43</v>
      </c>
      <c r="C3" s="3">
        <v>64.31</v>
      </c>
      <c r="D3" s="7">
        <f>C3/C5</f>
        <v>0.78493836201635536</v>
      </c>
      <c r="E3" s="2">
        <v>6.83</v>
      </c>
      <c r="F3" s="2">
        <v>15.25</v>
      </c>
      <c r="G3" s="20" t="s">
        <v>32</v>
      </c>
      <c r="H3" s="25">
        <f>16-F3</f>
        <v>0.75</v>
      </c>
      <c r="I3" s="25">
        <v>17.5</v>
      </c>
      <c r="J3" s="25">
        <v>1.25</v>
      </c>
      <c r="K3" s="43">
        <f>(0.45369+(0.00356*F3)+0.16245-(0.00344*I3))</f>
        <v>0.61022999999999994</v>
      </c>
      <c r="L3" s="3">
        <f>(0.1*J3*20)/K3</f>
        <v>4.0968159546400544</v>
      </c>
      <c r="M3" s="26">
        <f>L3*H3</f>
        <v>3.072611965980041</v>
      </c>
      <c r="N3" s="2">
        <v>10400</v>
      </c>
      <c r="O3" s="27">
        <f>(N3/1000)*3</f>
        <v>31.200000000000003</v>
      </c>
      <c r="P3" s="33">
        <f>O3+M3</f>
        <v>34.272611965980047</v>
      </c>
      <c r="Q3" s="47">
        <f>P3/0.2</f>
        <v>171.36305982990024</v>
      </c>
      <c r="R3" s="45">
        <f>Q3*C3</f>
        <v>11020.358377660885</v>
      </c>
    </row>
    <row r="4" spans="1:19" x14ac:dyDescent="0.25">
      <c r="A4" s="50"/>
      <c r="B4" s="2" t="s">
        <v>40</v>
      </c>
      <c r="C4" s="3">
        <v>17.62</v>
      </c>
      <c r="D4" s="7">
        <f>C4/C5</f>
        <v>0.21506163798364458</v>
      </c>
      <c r="E4" s="2">
        <v>6.9</v>
      </c>
      <c r="F4" s="2">
        <v>13.8</v>
      </c>
      <c r="G4" s="20" t="s">
        <v>32</v>
      </c>
      <c r="H4" s="25">
        <f>16-F4</f>
        <v>2.1999999999999993</v>
      </c>
      <c r="I4" s="25">
        <v>12.5</v>
      </c>
      <c r="J4" s="25">
        <v>1.3</v>
      </c>
      <c r="K4" s="43">
        <f>(0.45369+(0.00356*F4)+0.16245-(0.00344*I4))</f>
        <v>0.62226799999999993</v>
      </c>
      <c r="L4" s="3">
        <f>(0.1*J4*20)/K4</f>
        <v>4.1782640277179617</v>
      </c>
      <c r="M4" s="26">
        <f>L4*H4</f>
        <v>9.1921808609795121</v>
      </c>
      <c r="N4" s="2">
        <v>9900</v>
      </c>
      <c r="O4" s="27">
        <f>(N4/1000)*3</f>
        <v>29.700000000000003</v>
      </c>
      <c r="P4" s="33">
        <f>O4+M4</f>
        <v>38.892180860979515</v>
      </c>
      <c r="Q4" s="47">
        <f t="shared" ref="Q4" si="0">P4/0.2</f>
        <v>194.46090430489755</v>
      </c>
      <c r="R4" s="45">
        <f>Q4*C4</f>
        <v>3426.4011338522951</v>
      </c>
    </row>
    <row r="5" spans="1:19" x14ac:dyDescent="0.25">
      <c r="A5" s="10"/>
      <c r="B5" s="1" t="s">
        <v>3</v>
      </c>
      <c r="C5" s="4">
        <f>SUM(C3:C4)</f>
        <v>81.93</v>
      </c>
      <c r="D5" s="6"/>
      <c r="E5" s="1"/>
      <c r="F5" s="1"/>
      <c r="G5" s="21"/>
      <c r="H5" s="17"/>
      <c r="I5" s="17"/>
      <c r="J5" s="17"/>
      <c r="K5" s="17"/>
      <c r="L5" s="17"/>
      <c r="M5" s="17"/>
      <c r="N5" s="17"/>
      <c r="O5" s="17"/>
      <c r="P5" s="34"/>
      <c r="Q5" s="48"/>
      <c r="R5" s="46"/>
    </row>
    <row r="6" spans="1:19" x14ac:dyDescent="0.25">
      <c r="A6" s="49" t="s">
        <v>49</v>
      </c>
      <c r="B6" s="2" t="s">
        <v>43</v>
      </c>
      <c r="C6" s="3">
        <v>41.46</v>
      </c>
      <c r="D6" s="7">
        <f>C6/C8</f>
        <v>0.55823347246532917</v>
      </c>
      <c r="E6" s="2">
        <v>6.97</v>
      </c>
      <c r="F6" s="2">
        <v>12.9</v>
      </c>
      <c r="G6" s="20" t="s">
        <v>32</v>
      </c>
      <c r="H6" s="25">
        <f>16-F6</f>
        <v>3.0999999999999996</v>
      </c>
      <c r="I6" s="25">
        <v>17.5</v>
      </c>
      <c r="J6" s="25">
        <v>1.25</v>
      </c>
      <c r="K6" s="43">
        <f>(0.45369+(0.00356*F6)+0.16245-(0.00344*I6))</f>
        <v>0.60186399999999995</v>
      </c>
      <c r="L6" s="3">
        <f>(0.1*J6*20)/K6</f>
        <v>4.1537623117514926</v>
      </c>
      <c r="M6" s="26">
        <f>L6*H6</f>
        <v>12.876663166429626</v>
      </c>
      <c r="N6" s="2">
        <v>10600</v>
      </c>
      <c r="O6" s="27">
        <f>(N6/1000)*3</f>
        <v>31.799999999999997</v>
      </c>
      <c r="P6" s="33">
        <f>O6+M6</f>
        <v>44.67666316642962</v>
      </c>
      <c r="Q6" s="47">
        <f t="shared" ref="Q6:Q7" si="1">P6/0.2</f>
        <v>223.3833158321481</v>
      </c>
      <c r="R6" s="45">
        <f>Q6*C6</f>
        <v>9261.4722744008595</v>
      </c>
    </row>
    <row r="7" spans="1:19" x14ac:dyDescent="0.25">
      <c r="A7" s="50"/>
      <c r="B7" s="2" t="s">
        <v>40</v>
      </c>
      <c r="C7" s="3">
        <v>32.81</v>
      </c>
      <c r="D7" s="7">
        <f>C7/C8</f>
        <v>0.44176652753467077</v>
      </c>
      <c r="E7" s="2">
        <v>7</v>
      </c>
      <c r="F7" s="2">
        <v>13.6</v>
      </c>
      <c r="G7" s="20" t="s">
        <v>32</v>
      </c>
      <c r="H7" s="25">
        <f>16-F7</f>
        <v>2.4000000000000004</v>
      </c>
      <c r="I7" s="25">
        <v>12.5</v>
      </c>
      <c r="J7" s="25">
        <v>1.3</v>
      </c>
      <c r="K7" s="43">
        <f>(0.45369+(0.00356*F7)+0.16245-(0.00344*I7))</f>
        <v>0.62155599999999989</v>
      </c>
      <c r="L7" s="3">
        <f>(0.1*J7*20)/K7</f>
        <v>4.1830502802643696</v>
      </c>
      <c r="M7" s="26">
        <f>L7*H7</f>
        <v>10.039320672634489</v>
      </c>
      <c r="N7" s="2">
        <v>9900</v>
      </c>
      <c r="O7" s="27">
        <f>(N7/1000)*3</f>
        <v>29.700000000000003</v>
      </c>
      <c r="P7" s="33">
        <f>O7+M7</f>
        <v>39.739320672634491</v>
      </c>
      <c r="Q7" s="47">
        <f t="shared" si="1"/>
        <v>198.69660336317244</v>
      </c>
      <c r="R7" s="45">
        <f>Q7*C7</f>
        <v>6519.2355563456886</v>
      </c>
    </row>
    <row r="8" spans="1:19" x14ac:dyDescent="0.25">
      <c r="A8" s="10"/>
      <c r="B8" s="1" t="s">
        <v>3</v>
      </c>
      <c r="C8" s="4">
        <f>SUM(C6:C7)</f>
        <v>74.27000000000001</v>
      </c>
      <c r="D8" s="6"/>
      <c r="E8" s="1"/>
      <c r="F8" s="1"/>
      <c r="G8" s="21"/>
      <c r="H8" s="17"/>
      <c r="I8" s="17"/>
      <c r="J8" s="17"/>
      <c r="K8" s="17"/>
      <c r="L8" s="17"/>
      <c r="M8" s="17"/>
      <c r="N8" s="17"/>
      <c r="O8" s="17"/>
      <c r="P8" s="34"/>
      <c r="Q8" s="48"/>
      <c r="R8" s="46"/>
    </row>
    <row r="9" spans="1:19" x14ac:dyDescent="0.25">
      <c r="A9" s="49" t="s">
        <v>50</v>
      </c>
      <c r="B9" s="2" t="s">
        <v>41</v>
      </c>
      <c r="C9" s="3">
        <v>35.49</v>
      </c>
      <c r="D9" s="7">
        <f>C9/C12</f>
        <v>0.47663174858984686</v>
      </c>
      <c r="E9" s="2">
        <v>7.5</v>
      </c>
      <c r="F9" s="2">
        <v>26.7</v>
      </c>
      <c r="G9" s="20" t="s">
        <v>32</v>
      </c>
      <c r="H9" s="25">
        <v>0</v>
      </c>
      <c r="I9" s="25">
        <v>17.5</v>
      </c>
      <c r="J9" s="25">
        <v>1.25</v>
      </c>
      <c r="K9" s="43">
        <f>(0.45369+(0.00356*F9)+0.16245-(0.00344*I9))</f>
        <v>0.6509919999999999</v>
      </c>
      <c r="L9" s="3">
        <f>(0.1*J9*20)/K9</f>
        <v>3.840292968269964</v>
      </c>
      <c r="M9" s="26">
        <f>L9*H9</f>
        <v>0</v>
      </c>
      <c r="N9" s="2">
        <v>8500</v>
      </c>
      <c r="O9" s="27">
        <f>(N9/1000)*3</f>
        <v>25.5</v>
      </c>
      <c r="P9" s="33">
        <v>0</v>
      </c>
      <c r="Q9" s="47">
        <f t="shared" ref="Q9:Q11" si="2">P9/0.2</f>
        <v>0</v>
      </c>
      <c r="R9" s="45">
        <f>Q9*C9</f>
        <v>0</v>
      </c>
    </row>
    <row r="10" spans="1:19" x14ac:dyDescent="0.25">
      <c r="A10" s="52"/>
      <c r="B10" s="2" t="s">
        <v>42</v>
      </c>
      <c r="C10" s="3">
        <v>37.020000000000003</v>
      </c>
      <c r="D10" s="7">
        <f>C10/C12</f>
        <v>0.49717969379532634</v>
      </c>
      <c r="E10" s="2">
        <v>7.5</v>
      </c>
      <c r="F10" s="2">
        <v>26.7</v>
      </c>
      <c r="G10" s="20" t="s">
        <v>32</v>
      </c>
      <c r="H10" s="25">
        <v>0</v>
      </c>
      <c r="I10" s="25">
        <v>17.5</v>
      </c>
      <c r="J10" s="25">
        <v>1.25</v>
      </c>
      <c r="K10" s="43">
        <f>(0.45369+(0.00356*F10)+0.16245-(0.00344*I10))</f>
        <v>0.6509919999999999</v>
      </c>
      <c r="L10" s="3">
        <f>(0.1*J10*20)/K10</f>
        <v>3.840292968269964</v>
      </c>
      <c r="M10" s="26">
        <f>L10*H10</f>
        <v>0</v>
      </c>
      <c r="N10" s="2">
        <v>6500</v>
      </c>
      <c r="O10" s="27">
        <f>(N10/1000)*3</f>
        <v>19.5</v>
      </c>
      <c r="P10" s="33">
        <v>0</v>
      </c>
      <c r="Q10" s="47">
        <f t="shared" si="2"/>
        <v>0</v>
      </c>
      <c r="R10" s="45">
        <f>Q10*C10</f>
        <v>0</v>
      </c>
    </row>
    <row r="11" spans="1:19" x14ac:dyDescent="0.25">
      <c r="A11" s="50"/>
      <c r="B11" s="2" t="s">
        <v>40</v>
      </c>
      <c r="C11" s="3">
        <v>1.95</v>
      </c>
      <c r="D11" s="7">
        <f>C11/C12</f>
        <v>2.618855761482675E-2</v>
      </c>
      <c r="E11" s="2">
        <v>6.79</v>
      </c>
      <c r="F11" s="2">
        <v>14.93</v>
      </c>
      <c r="G11" s="20" t="s">
        <v>32</v>
      </c>
      <c r="H11" s="25">
        <f>16-F11</f>
        <v>1.0700000000000003</v>
      </c>
      <c r="I11" s="25">
        <v>12.5</v>
      </c>
      <c r="J11" s="25">
        <v>1.3</v>
      </c>
      <c r="K11" s="43">
        <f>(0.45369+(0.00356*F11)+0.16245-(0.00344*I11))</f>
        <v>0.62629079999999993</v>
      </c>
      <c r="L11" s="3">
        <f>(0.1*J11*20)/K11</f>
        <v>4.1514261426161783</v>
      </c>
      <c r="M11" s="26">
        <v>0</v>
      </c>
      <c r="N11" s="2">
        <v>7000</v>
      </c>
      <c r="O11" s="27">
        <f>(N11/1000)*3</f>
        <v>21</v>
      </c>
      <c r="P11" s="33">
        <f>O11+M11</f>
        <v>21</v>
      </c>
      <c r="Q11" s="47">
        <f t="shared" si="2"/>
        <v>105</v>
      </c>
      <c r="R11" s="45">
        <f>Q11*C11</f>
        <v>204.75</v>
      </c>
    </row>
    <row r="12" spans="1:19" x14ac:dyDescent="0.25">
      <c r="A12" s="10"/>
      <c r="B12" s="41" t="s">
        <v>3</v>
      </c>
      <c r="C12" s="4">
        <f>SUM(C9:C11)</f>
        <v>74.460000000000008</v>
      </c>
      <c r="D12" s="6"/>
      <c r="E12" s="41"/>
      <c r="F12" s="41"/>
      <c r="G12" s="21"/>
      <c r="H12" s="17"/>
      <c r="I12" s="17"/>
      <c r="J12" s="17"/>
      <c r="K12" s="17"/>
      <c r="L12" s="17"/>
      <c r="M12" s="17"/>
      <c r="N12" s="17"/>
      <c r="O12" s="17"/>
      <c r="P12" s="34"/>
      <c r="Q12" s="48"/>
      <c r="R12" s="46"/>
    </row>
    <row r="15" spans="1:19" ht="15.75" thickBot="1" x14ac:dyDescent="0.3"/>
    <row r="16" spans="1:19" x14ac:dyDescent="0.25">
      <c r="Q16" s="38" t="s">
        <v>38</v>
      </c>
      <c r="R16" s="37">
        <f>SUM(R3:R12)</f>
        <v>30432.217342259726</v>
      </c>
      <c r="S16" s="9" t="s">
        <v>35</v>
      </c>
    </row>
    <row r="17" spans="17:19" x14ac:dyDescent="0.25">
      <c r="Q17" s="39" t="s">
        <v>38</v>
      </c>
      <c r="R17" s="28">
        <f>R16/1000</f>
        <v>30.432217342259726</v>
      </c>
      <c r="S17" s="11" t="s">
        <v>36</v>
      </c>
    </row>
    <row r="18" spans="17:19" ht="15.75" thickBot="1" x14ac:dyDescent="0.3">
      <c r="Q18" s="40" t="s">
        <v>39</v>
      </c>
      <c r="R18" s="44">
        <f>R16/SUM(C11,C6:C7,C3:C4)</f>
        <v>192.426287336451</v>
      </c>
      <c r="S18" s="12" t="s">
        <v>37</v>
      </c>
    </row>
  </sheetData>
  <mergeCells count="4">
    <mergeCell ref="A3:A4"/>
    <mergeCell ref="E1:F1"/>
    <mergeCell ref="A6:A7"/>
    <mergeCell ref="A9:A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K16" sqref="K16"/>
    </sheetView>
  </sheetViews>
  <sheetFormatPr baseColWidth="10" defaultRowHeight="15" x14ac:dyDescent="0.25"/>
  <sheetData>
    <row r="1" spans="1:2" x14ac:dyDescent="0.25">
      <c r="A1" s="1"/>
      <c r="B1" s="1" t="s">
        <v>21</v>
      </c>
    </row>
    <row r="2" spans="1:2" x14ac:dyDescent="0.25">
      <c r="A2" s="2" t="s">
        <v>22</v>
      </c>
      <c r="B2" s="2" t="s">
        <v>23</v>
      </c>
    </row>
    <row r="3" spans="1:2" x14ac:dyDescent="0.25">
      <c r="A3" s="2" t="s">
        <v>24</v>
      </c>
      <c r="B3" s="14" t="s">
        <v>25</v>
      </c>
    </row>
    <row r="4" spans="1:2" x14ac:dyDescent="0.25">
      <c r="A4" s="15" t="s">
        <v>26</v>
      </c>
      <c r="B4" s="2">
        <v>14</v>
      </c>
    </row>
    <row r="6" spans="1:2" x14ac:dyDescent="0.25">
      <c r="A6" s="15" t="s">
        <v>27</v>
      </c>
      <c r="B6" s="2">
        <f>(290*0.96)-40</f>
        <v>238.39999999999998</v>
      </c>
    </row>
    <row r="7" spans="1:2" x14ac:dyDescent="0.25">
      <c r="A7" s="15" t="s">
        <v>28</v>
      </c>
      <c r="B7" s="3">
        <f>B6/1000</f>
        <v>0.23839999999999997</v>
      </c>
    </row>
    <row r="8" spans="1:2" x14ac:dyDescent="0.25">
      <c r="A8" s="15" t="s">
        <v>29</v>
      </c>
      <c r="B8" s="2" t="s">
        <v>30</v>
      </c>
    </row>
    <row r="9" spans="1:2" x14ac:dyDescent="0.25">
      <c r="A9" s="15" t="s">
        <v>31</v>
      </c>
      <c r="B9" s="3">
        <f>(530)/(1000)</f>
        <v>0.53</v>
      </c>
    </row>
    <row r="13" spans="1:2" x14ac:dyDescent="0.25">
      <c r="A13" s="1"/>
      <c r="B13" s="1" t="s">
        <v>21</v>
      </c>
    </row>
    <row r="14" spans="1:2" x14ac:dyDescent="0.25">
      <c r="A14" s="2" t="s">
        <v>22</v>
      </c>
      <c r="B14" s="2" t="s">
        <v>32</v>
      </c>
    </row>
    <row r="15" spans="1:2" x14ac:dyDescent="0.25">
      <c r="A15" s="2" t="s">
        <v>24</v>
      </c>
      <c r="B15" s="16" t="s">
        <v>33</v>
      </c>
    </row>
    <row r="16" spans="1:2" x14ac:dyDescent="0.25">
      <c r="A16" s="15" t="s">
        <v>34</v>
      </c>
      <c r="B16" s="2">
        <v>16</v>
      </c>
    </row>
  </sheetData>
  <hyperlinks>
    <hyperlink ref="B3" r:id="rId1"/>
    <hyperlink ref="B15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P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2018-07-20T15:03:40Z</dcterms:modified>
</cp:coreProperties>
</file>